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<sst xmlns="http://schemas.openxmlformats.org/spreadsheetml/2006/main" count="467" uniqueCount="179">
  <si>
    <t>Flight SFO to Berlin</t>
  </si>
  <si>
    <t>usd</t>
  </si>
  <si>
    <t>tickets</t>
  </si>
  <si>
    <t>internet</t>
  </si>
  <si>
    <t>AED</t>
  </si>
  <si>
    <t>Flight Denver to SFO</t>
  </si>
  <si>
    <t>AMD</t>
  </si>
  <si>
    <t>Flight Budapest to Bucharest</t>
  </si>
  <si>
    <t>huf</t>
  </si>
  <si>
    <t>AZN</t>
  </si>
  <si>
    <t>Flight Bucharest to Budapest</t>
  </si>
  <si>
    <t>ron</t>
  </si>
  <si>
    <t>CZK</t>
  </si>
  <si>
    <t>Flight Dubai to Dar (roundtrip)</t>
  </si>
  <si>
    <t>EUR</t>
  </si>
  <si>
    <t>Flight Dar to Mbeya</t>
  </si>
  <si>
    <t>GEL</t>
  </si>
  <si>
    <t>Bus to Wroclaw</t>
  </si>
  <si>
    <t>pln</t>
  </si>
  <si>
    <t>transport</t>
  </si>
  <si>
    <t>Berlin airport</t>
  </si>
  <si>
    <t>HUF</t>
  </si>
  <si>
    <t>McDonalds Coffee</t>
  </si>
  <si>
    <t>wifi</t>
  </si>
  <si>
    <t>Wroclaw</t>
  </si>
  <si>
    <t>LEI</t>
  </si>
  <si>
    <t>Vegan soup</t>
  </si>
  <si>
    <t>meal</t>
  </si>
  <si>
    <t>MWK</t>
  </si>
  <si>
    <t>2 breads in bag</t>
  </si>
  <si>
    <t>PLN</t>
  </si>
  <si>
    <t>donut with "lawyer" filling</t>
  </si>
  <si>
    <t>snack</t>
  </si>
  <si>
    <t>RON</t>
  </si>
  <si>
    <t>2.9/100g restaurant</t>
  </si>
  <si>
    <t>TZS</t>
  </si>
  <si>
    <t>Orange 2gb for 30 days sim</t>
  </si>
  <si>
    <t>other</t>
  </si>
  <si>
    <t>USD</t>
  </si>
  <si>
    <t>bus to Jelenia Gora</t>
  </si>
  <si>
    <t>map of mountains</t>
  </si>
  <si>
    <t>Jelenia Gora</t>
  </si>
  <si>
    <t>night in camper van</t>
  </si>
  <si>
    <t>lodging</t>
  </si>
  <si>
    <t>Flights</t>
  </si>
  <si>
    <t>grocery store food</t>
  </si>
  <si>
    <t>Transport</t>
  </si>
  <si>
    <t>bus to Karpacz</t>
  </si>
  <si>
    <t>Visas</t>
  </si>
  <si>
    <t>coffee</t>
  </si>
  <si>
    <t>Karpacz</t>
  </si>
  <si>
    <t>Lodging</t>
  </si>
  <si>
    <t>bus to Prague</t>
  </si>
  <si>
    <t>czk</t>
  </si>
  <si>
    <t>Pec</t>
  </si>
  <si>
    <t>Attractions</t>
  </si>
  <si>
    <t>KFC coffee</t>
  </si>
  <si>
    <t>Prague</t>
  </si>
  <si>
    <t>Meals</t>
  </si>
  <si>
    <t>train to Poprad, upper class</t>
  </si>
  <si>
    <t>eur</t>
  </si>
  <si>
    <t>Snacks</t>
  </si>
  <si>
    <t>soup in bread bowl</t>
  </si>
  <si>
    <t>Wifi</t>
  </si>
  <si>
    <t>.5l dark beer</t>
  </si>
  <si>
    <t>beer</t>
  </si>
  <si>
    <t>Beer</t>
  </si>
  <si>
    <t>tip</t>
  </si>
  <si>
    <t>Other</t>
  </si>
  <si>
    <t>flixbus to budapest</t>
  </si>
  <si>
    <t>Water</t>
  </si>
  <si>
    <t>non-alcoholic beer on train</t>
  </si>
  <si>
    <t>train to Poprad</t>
  </si>
  <si>
    <t>flight Blantyre to Dar</t>
  </si>
  <si>
    <t>Total</t>
  </si>
  <si>
    <t>cereal in milk from machine</t>
  </si>
  <si>
    <t>Poprad</t>
  </si>
  <si>
    <t>True total</t>
  </si>
  <si>
    <t>bus to stary smokovec</t>
  </si>
  <si>
    <t>bean soup</t>
  </si>
  <si>
    <t>mountain hotel</t>
  </si>
  <si>
    <t>Average</t>
  </si>
  <si>
    <t>machine coffee</t>
  </si>
  <si>
    <t>goulash</t>
  </si>
  <si>
    <t>machine snack</t>
  </si>
  <si>
    <t>bus to town</t>
  </si>
  <si>
    <t>Stary</t>
  </si>
  <si>
    <t>ice cream</t>
  </si>
  <si>
    <t>beef soup</t>
  </si>
  <si>
    <t>veggie doner</t>
  </si>
  <si>
    <t>300ml machine coffee</t>
  </si>
  <si>
    <t>Ružomberok</t>
  </si>
  <si>
    <t>fig bars and coffee</t>
  </si>
  <si>
    <t>24-hour travel card</t>
  </si>
  <si>
    <t>Budapest</t>
  </si>
  <si>
    <t>goulash and rice</t>
  </si>
  <si>
    <t>sour cherry pastry</t>
  </si>
  <si>
    <t>pretzel</t>
  </si>
  <si>
    <t>soup</t>
  </si>
  <si>
    <t>spinach garlic bread</t>
  </si>
  <si>
    <t>grocery food</t>
  </si>
  <si>
    <t>Americano at airport</t>
  </si>
  <si>
    <t>deli counter meals</t>
  </si>
  <si>
    <t>lei</t>
  </si>
  <si>
    <t>Bucharest airport</t>
  </si>
  <si>
    <t>machine coffee x 2</t>
  </si>
  <si>
    <t>bus/train from airport to airport</t>
  </si>
  <si>
    <t>aed</t>
  </si>
  <si>
    <t>Dubai</t>
  </si>
  <si>
    <t>transit visa for Tanzania (American price)</t>
  </si>
  <si>
    <t>visa</t>
  </si>
  <si>
    <t>Dar es Salaam</t>
  </si>
  <si>
    <t>flight to Yerevan from Dubai</t>
  </si>
  <si>
    <t>taxi from Mbeya airport</t>
  </si>
  <si>
    <t>tzs</t>
  </si>
  <si>
    <t>Mbeya</t>
  </si>
  <si>
    <t>bus to border</t>
  </si>
  <si>
    <t>hotel</t>
  </si>
  <si>
    <t>border</t>
  </si>
  <si>
    <t>dinner</t>
  </si>
  <si>
    <t>bike taxi?</t>
  </si>
  <si>
    <t>robbed by money changer</t>
  </si>
  <si>
    <t>visa fee to enter malawi</t>
  </si>
  <si>
    <t>border to Mzuzu</t>
  </si>
  <si>
    <t>mwk</t>
  </si>
  <si>
    <t>bus to blantyre</t>
  </si>
  <si>
    <t>Mzuzu</t>
  </si>
  <si>
    <t>rice and veggies</t>
  </si>
  <si>
    <t>bus ticket to Lilongwe return</t>
  </si>
  <si>
    <t>Blantyre</t>
  </si>
  <si>
    <t>banana bread</t>
  </si>
  <si>
    <t>bean salad at mall</t>
  </si>
  <si>
    <t>veg sandwich</t>
  </si>
  <si>
    <t>nsima and greens</t>
  </si>
  <si>
    <t>Lilongwe</t>
  </si>
  <si>
    <t>ice cream soft serve</t>
  </si>
  <si>
    <t>baobab drink</t>
  </si>
  <si>
    <t>carlsberg</t>
  </si>
  <si>
    <t>Mulanje</t>
  </si>
  <si>
    <t>village beer</t>
  </si>
  <si>
    <t>Zomba</t>
  </si>
  <si>
    <t>coffee and mug</t>
  </si>
  <si>
    <t>village stay, 3 nights, 3 dinners, 3 breakfasts</t>
  </si>
  <si>
    <t>Nakuala</t>
  </si>
  <si>
    <t>Liwonde national park entry</t>
  </si>
  <si>
    <t>attractions</t>
  </si>
  <si>
    <t>Liwonde</t>
  </si>
  <si>
    <t>peanuts, raisins, gum</t>
  </si>
  <si>
    <t>boat safari</t>
  </si>
  <si>
    <t>national park entry</t>
  </si>
  <si>
    <t>Cape MacClear</t>
  </si>
  <si>
    <t>hotel stay Cape MacClear (contribution)</t>
  </si>
  <si>
    <t>tip for ranger</t>
  </si>
  <si>
    <t>room at mkango lodge</t>
  </si>
  <si>
    <t>5 liter jug of water</t>
  </si>
  <si>
    <t>water</t>
  </si>
  <si>
    <t>ride to hotel</t>
  </si>
  <si>
    <t>bus to airport</t>
  </si>
  <si>
    <t>bus airport to town</t>
  </si>
  <si>
    <t>skyband 250mb</t>
  </si>
  <si>
    <t>nsima and veggies</t>
  </si>
  <si>
    <t>ginger cookies</t>
  </si>
  <si>
    <t>filter coffee</t>
  </si>
  <si>
    <t>Carlsberg stout</t>
  </si>
  <si>
    <t>minibuses to airport</t>
  </si>
  <si>
    <t>Azeri Visa</t>
  </si>
  <si>
    <t>2.5 GB data plan</t>
  </si>
  <si>
    <t>amd</t>
  </si>
  <si>
    <t>Yerevan</t>
  </si>
  <si>
    <t>bus to center</t>
  </si>
  <si>
    <t>machine nescafe</t>
  </si>
  <si>
    <t>subway ride</t>
  </si>
  <si>
    <t>Hostel bed</t>
  </si>
  <si>
    <t>minibus</t>
  </si>
  <si>
    <t>normal bus</t>
  </si>
  <si>
    <t>mushroom stew, red bean stew, bread assortment, included 10% tip?</t>
  </si>
  <si>
    <t>ginger cookie</t>
  </si>
  <si>
    <t>juice drink</t>
  </si>
  <si>
    <t>flight to Denver (28k Delta miles + $70 for 2k miles + $250 taxes)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</si>
</sst>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</font>
    <font>
      <name val="Arial"/>
    </font>
    <font>
      <color rgb="FF000000"/>
      <name val="Arial"/>
    </font>
    <font>
      <sz val="11.0"/>
      <color rgb="FF000000"/>
      <name val="Inconsolata"/>
    </font>
    <font/>
    <font>
      <sz val="11.0"/>
      <color rgb="FF444444"/>
      <name val="&quot;Roboto Condensed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2" fontId="2" numFmtId="0" xfId="0" applyAlignment="1" applyFill="1" applyFont="1">
      <alignment horizontal="left"/>
    </xf>
    <xf borderId="0" fillId="2" fontId="3" numFmtId="164" xfId="0" applyAlignment="1" applyFont="1" applyNumberFormat="1">
      <alignment horizontal="right"/>
    </xf>
    <xf borderId="0" fillId="0" fontId="1" numFmtId="0" xfId="0" applyAlignment="1" applyFont="1">
      <alignment/>
    </xf>
    <xf borderId="0" fillId="0" fontId="4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2" fontId="3" numFmtId="0" xfId="0" applyAlignment="1" applyFont="1">
      <alignment horizontal="right"/>
    </xf>
    <xf borderId="0" fillId="2" fontId="3" numFmtId="0" xfId="0" applyFont="1"/>
    <xf borderId="0" fillId="0" fontId="1" numFmtId="0" xfId="0" applyAlignment="1" applyFont="1">
      <alignment horizontal="center"/>
    </xf>
    <xf borderId="0" fillId="2" fontId="5" numFmtId="0" xfId="0" applyAlignment="1" applyFont="1">
      <alignment/>
    </xf>
    <xf borderId="0" fillId="0" fontId="4" numFmtId="164" xfId="0" applyAlignment="1" applyFont="1" applyNumberForma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Sheet1!$K$16:$K$27</c:f>
            </c:strRef>
          </c:cat>
          <c:val>
            <c:numRef>
              <c:f>Sheet1!$L$16:$L$27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180975</xdr:colOff>
      <xdr:row>31</xdr:row>
      <xdr:rowOff>76200</xdr:rowOff>
    </xdr:from>
    <xdr:to>
      <xdr:col>13</xdr:col>
      <xdr:colOff>123825</xdr:colOff>
      <xdr:row>49</xdr:row>
      <xdr:rowOff>9525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B1" s="2">
        <v>55.0</v>
      </c>
      <c r="C1" s="3" t="s">
        <v>1</v>
      </c>
      <c r="D1" s="3" t="s">
        <v>2</v>
      </c>
      <c r="E1" s="4">
        <v>0.0</v>
      </c>
      <c r="F1" s="5" t="s">
        <v>3</v>
      </c>
      <c r="G1" s="6">
        <f t="shared" ref="G1:G110" si="1">B1/LOOKUP(C1,$K$1:$K$13, $L$1:$L$13)</f>
        <v>55</v>
      </c>
      <c r="H1" s="7"/>
      <c r="I1" s="4">
        <v>1.0</v>
      </c>
      <c r="J1" s="4">
        <f>SUMIF(E$1:E$501, "=1", G$1:G$501)</f>
        <v>60.5026738</v>
      </c>
      <c r="K1" s="8" t="s">
        <v>4</v>
      </c>
      <c r="L1" s="8">
        <v>3.67</v>
      </c>
    </row>
    <row r="2">
      <c r="A2" s="1" t="s">
        <v>5</v>
      </c>
      <c r="B2" s="2">
        <v>118.99</v>
      </c>
      <c r="C2" s="1" t="s">
        <v>1</v>
      </c>
      <c r="D2" s="3" t="s">
        <v>2</v>
      </c>
      <c r="E2" s="4">
        <v>0.0</v>
      </c>
      <c r="F2" s="5" t="s">
        <v>3</v>
      </c>
      <c r="G2" s="6">
        <f t="shared" si="1"/>
        <v>118.99</v>
      </c>
      <c r="H2" s="7"/>
      <c r="I2" s="4">
        <v>2.0</v>
      </c>
      <c r="J2" s="4">
        <f>SUMIF(E$1:E$501, "=2", G$1:G$501)</f>
        <v>33.00805562</v>
      </c>
      <c r="K2" s="8" t="s">
        <v>6</v>
      </c>
      <c r="L2" s="8">
        <v>480.69</v>
      </c>
    </row>
    <row r="3">
      <c r="A3" s="1" t="s">
        <v>7</v>
      </c>
      <c r="B3" s="2">
        <v>5990.0</v>
      </c>
      <c r="C3" s="1" t="s">
        <v>8</v>
      </c>
      <c r="D3" s="3" t="s">
        <v>2</v>
      </c>
      <c r="E3" s="2">
        <v>0.0</v>
      </c>
      <c r="F3" s="5" t="s">
        <v>3</v>
      </c>
      <c r="G3" s="6">
        <f t="shared" si="1"/>
        <v>21.82149362</v>
      </c>
      <c r="H3" s="7"/>
      <c r="I3" s="4">
        <v>3.0</v>
      </c>
      <c r="J3" s="4">
        <f>SUMIF(E$1:E$501, "=3", G$1:G$501)</f>
        <v>37.64044944</v>
      </c>
      <c r="K3" s="8" t="s">
        <v>9</v>
      </c>
      <c r="L3" s="8">
        <v>1.69</v>
      </c>
    </row>
    <row r="4">
      <c r="A4" s="9" t="s">
        <v>10</v>
      </c>
      <c r="B4" s="10">
        <v>199.0</v>
      </c>
      <c r="C4" s="1" t="s">
        <v>11</v>
      </c>
      <c r="D4" s="3" t="s">
        <v>2</v>
      </c>
      <c r="E4" s="10">
        <v>0.0</v>
      </c>
      <c r="F4" s="5" t="s">
        <v>3</v>
      </c>
      <c r="G4" s="6">
        <f t="shared" si="1"/>
        <v>48.89434889</v>
      </c>
      <c r="H4" s="7"/>
      <c r="I4" s="4">
        <v>4.0</v>
      </c>
      <c r="J4" s="11">
        <f>SUMIF(E$1:E$501, "=4", G$1:G$501)</f>
        <v>31.57663338</v>
      </c>
      <c r="K4" s="8" t="s">
        <v>12</v>
      </c>
      <c r="L4" s="8">
        <v>23.52</v>
      </c>
    </row>
    <row r="5">
      <c r="A5" s="1" t="s">
        <v>13</v>
      </c>
      <c r="B5" s="2">
        <v>266.67</v>
      </c>
      <c r="C5" s="1" t="s">
        <v>1</v>
      </c>
      <c r="D5" s="3" t="s">
        <v>2</v>
      </c>
      <c r="E5" s="2">
        <v>0.0</v>
      </c>
      <c r="F5" s="5" t="s">
        <v>3</v>
      </c>
      <c r="G5" s="6">
        <f t="shared" si="1"/>
        <v>266.67</v>
      </c>
      <c r="H5" s="7"/>
      <c r="I5" s="4">
        <v>5.0</v>
      </c>
      <c r="J5" s="4">
        <f>SUMIF(E$1:E$501, "=5", G$1:G$501)</f>
        <v>60.50514081</v>
      </c>
      <c r="K5" s="8" t="s">
        <v>14</v>
      </c>
      <c r="L5" s="8">
        <v>0.89</v>
      </c>
    </row>
    <row r="6">
      <c r="A6" s="1" t="s">
        <v>15</v>
      </c>
      <c r="B6" s="2">
        <v>77.81</v>
      </c>
      <c r="C6" s="1" t="s">
        <v>1</v>
      </c>
      <c r="D6" s="3" t="s">
        <v>2</v>
      </c>
      <c r="E6" s="2">
        <v>0.0</v>
      </c>
      <c r="F6" s="5" t="s">
        <v>3</v>
      </c>
      <c r="G6" s="6">
        <f t="shared" si="1"/>
        <v>77.81</v>
      </c>
      <c r="H6" s="7"/>
      <c r="I6" s="4">
        <v>6.0</v>
      </c>
      <c r="J6" s="4">
        <f>SUMIF(E$1:E$501, "=6", G$1:G$501)</f>
        <v>97.48275862</v>
      </c>
      <c r="K6" s="8" t="s">
        <v>16</v>
      </c>
      <c r="L6" s="8">
        <v>2.4</v>
      </c>
      <c r="N6">
        <f>270/6.22</f>
        <v>43.40836013</v>
      </c>
    </row>
    <row r="7">
      <c r="A7" s="1" t="s">
        <v>17</v>
      </c>
      <c r="B7" s="2">
        <v>90.0</v>
      </c>
      <c r="C7" s="1" t="s">
        <v>18</v>
      </c>
      <c r="D7" s="1" t="s">
        <v>19</v>
      </c>
      <c r="E7" s="2">
        <v>1.0</v>
      </c>
      <c r="F7" s="1" t="s">
        <v>20</v>
      </c>
      <c r="G7" s="6">
        <f t="shared" si="1"/>
        <v>24.06417112</v>
      </c>
      <c r="H7" s="7"/>
      <c r="I7" s="4">
        <v>7.0</v>
      </c>
      <c r="J7" s="4">
        <f>SUMIF(E$1:E$501, "=7", G$1:G$501)</f>
        <v>37.84827586</v>
      </c>
      <c r="K7" s="1" t="s">
        <v>21</v>
      </c>
      <c r="L7" s="2">
        <v>274.5</v>
      </c>
    </row>
    <row r="8">
      <c r="A8" s="1" t="s">
        <v>22</v>
      </c>
      <c r="B8" s="2">
        <v>7.9</v>
      </c>
      <c r="C8" s="1" t="s">
        <v>18</v>
      </c>
      <c r="D8" s="1" t="s">
        <v>23</v>
      </c>
      <c r="E8" s="2">
        <v>1.0</v>
      </c>
      <c r="F8" s="1" t="s">
        <v>24</v>
      </c>
      <c r="G8" s="6">
        <f t="shared" si="1"/>
        <v>2.112299465</v>
      </c>
      <c r="H8" s="7"/>
      <c r="I8" s="4">
        <v>8.0</v>
      </c>
      <c r="J8" s="4">
        <f>SUMIF(E$1:E$501, "=8", G$1:G$501)</f>
        <v>4.510344828</v>
      </c>
      <c r="K8" s="8" t="s">
        <v>25</v>
      </c>
      <c r="L8" s="8">
        <v>4.096</v>
      </c>
    </row>
    <row r="9">
      <c r="A9" s="1" t="s">
        <v>26</v>
      </c>
      <c r="B9" s="2">
        <v>8.0</v>
      </c>
      <c r="C9" s="9" t="s">
        <v>18</v>
      </c>
      <c r="D9" s="1" t="s">
        <v>27</v>
      </c>
      <c r="E9" s="2">
        <v>1.0</v>
      </c>
      <c r="F9" s="1" t="s">
        <v>24</v>
      </c>
      <c r="G9" s="6">
        <f t="shared" si="1"/>
        <v>2.139037433</v>
      </c>
      <c r="H9" s="7"/>
      <c r="I9" s="4">
        <v>9.0</v>
      </c>
      <c r="J9" s="4">
        <f>SUMIF(E$1:E$501, "=9", G$1:G$501)</f>
        <v>1.24137931</v>
      </c>
      <c r="K9" s="8" t="s">
        <v>28</v>
      </c>
      <c r="L9" s="8">
        <v>725.0</v>
      </c>
    </row>
    <row r="10">
      <c r="A10" s="1" t="s">
        <v>29</v>
      </c>
      <c r="B10" s="2">
        <v>2.18</v>
      </c>
      <c r="C10" s="9" t="s">
        <v>18</v>
      </c>
      <c r="D10" s="1" t="s">
        <v>27</v>
      </c>
      <c r="E10" s="2">
        <v>1.0</v>
      </c>
      <c r="F10" s="1" t="s">
        <v>24</v>
      </c>
      <c r="G10" s="6">
        <f t="shared" si="1"/>
        <v>0.5828877005</v>
      </c>
      <c r="H10" s="7"/>
      <c r="I10" s="4">
        <v>10.0</v>
      </c>
      <c r="J10" s="4">
        <f>SUMIF(E$1:E$501, "=10", G$1:G$501)</f>
        <v>2.75862069</v>
      </c>
      <c r="K10" s="9" t="s">
        <v>30</v>
      </c>
      <c r="L10" s="9">
        <v>3.74</v>
      </c>
    </row>
    <row r="11">
      <c r="A11" s="1" t="s">
        <v>31</v>
      </c>
      <c r="B11" s="2">
        <v>2.5</v>
      </c>
      <c r="C11" s="9" t="s">
        <v>18</v>
      </c>
      <c r="D11" s="1" t="s">
        <v>32</v>
      </c>
      <c r="E11" s="2">
        <v>1.0</v>
      </c>
      <c r="F11" s="1" t="s">
        <v>24</v>
      </c>
      <c r="G11" s="6">
        <f t="shared" si="1"/>
        <v>0.6684491979</v>
      </c>
      <c r="H11" s="7"/>
      <c r="I11" s="4">
        <v>11.0</v>
      </c>
      <c r="J11" s="4">
        <f>SUMIF(E$1:E$501, "=11", G$1:G$501)</f>
        <v>9.779310345</v>
      </c>
      <c r="K11" s="9" t="s">
        <v>33</v>
      </c>
      <c r="L11" s="10">
        <v>4.07</v>
      </c>
    </row>
    <row r="12">
      <c r="A12" s="1" t="s">
        <v>34</v>
      </c>
      <c r="B12" s="2">
        <v>10.2</v>
      </c>
      <c r="C12" s="9" t="s">
        <v>18</v>
      </c>
      <c r="D12" s="1" t="s">
        <v>27</v>
      </c>
      <c r="E12" s="2">
        <v>1.0</v>
      </c>
      <c r="F12" s="1" t="s">
        <v>24</v>
      </c>
      <c r="G12" s="6">
        <f t="shared" si="1"/>
        <v>2.727272727</v>
      </c>
      <c r="H12" s="7"/>
      <c r="I12" s="4">
        <v>12.0</v>
      </c>
      <c r="J12" s="4">
        <f>SUMIF(E$1:E$501, "=12", G$1:G$501)</f>
        <v>0</v>
      </c>
      <c r="K12" s="1" t="s">
        <v>35</v>
      </c>
      <c r="L12" s="2">
        <v>2237.0</v>
      </c>
    </row>
    <row r="13">
      <c r="A13" s="1" t="s">
        <v>36</v>
      </c>
      <c r="B13" s="2">
        <v>7.0</v>
      </c>
      <c r="C13" s="9" t="s">
        <v>18</v>
      </c>
      <c r="D13" s="1" t="s">
        <v>37</v>
      </c>
      <c r="E13" s="2">
        <v>1.0</v>
      </c>
      <c r="F13" s="1" t="s">
        <v>24</v>
      </c>
      <c r="G13" s="6">
        <f t="shared" si="1"/>
        <v>1.871657754</v>
      </c>
      <c r="H13" s="7"/>
      <c r="I13" s="4">
        <v>13.0</v>
      </c>
      <c r="J13" s="4">
        <f>SUMIF(E$1:E$501, "=13", G$1:G$501)</f>
        <v>59.33931034</v>
      </c>
      <c r="K13" s="9" t="s">
        <v>38</v>
      </c>
      <c r="L13" s="9">
        <v>1.0</v>
      </c>
    </row>
    <row r="14">
      <c r="A14" s="1" t="s">
        <v>39</v>
      </c>
      <c r="B14" s="2">
        <v>18.0</v>
      </c>
      <c r="C14" s="9" t="s">
        <v>18</v>
      </c>
      <c r="D14" s="1" t="s">
        <v>19</v>
      </c>
      <c r="E14" s="2">
        <v>1.0</v>
      </c>
      <c r="F14" s="1" t="s">
        <v>24</v>
      </c>
      <c r="G14" s="6">
        <f t="shared" si="1"/>
        <v>4.812834225</v>
      </c>
      <c r="H14" s="7"/>
      <c r="I14" s="4">
        <v>14.0</v>
      </c>
      <c r="J14" s="4">
        <f>SUMIF(E$1:E$501, "=14", G$1:G$501)</f>
        <v>9.655172414</v>
      </c>
    </row>
    <row r="15">
      <c r="A15" s="1" t="s">
        <v>40</v>
      </c>
      <c r="B15" s="2">
        <v>13.5</v>
      </c>
      <c r="C15" s="9" t="s">
        <v>18</v>
      </c>
      <c r="D15" s="1" t="s">
        <v>37</v>
      </c>
      <c r="E15" s="2">
        <v>1.0</v>
      </c>
      <c r="F15" s="1" t="s">
        <v>41</v>
      </c>
      <c r="G15" s="6">
        <f t="shared" si="1"/>
        <v>3.609625668</v>
      </c>
      <c r="H15" s="7"/>
      <c r="I15" s="4">
        <v>15.0</v>
      </c>
      <c r="J15" s="4">
        <f>SUMIF(E$1:E$501, "=15", G$1:G$501)</f>
        <v>19.31034483</v>
      </c>
    </row>
    <row r="16">
      <c r="A16" s="1" t="s">
        <v>42</v>
      </c>
      <c r="B16" s="2">
        <v>45.0</v>
      </c>
      <c r="C16" s="9" t="s">
        <v>18</v>
      </c>
      <c r="D16" s="1" t="s">
        <v>43</v>
      </c>
      <c r="E16" s="2">
        <v>1.0</v>
      </c>
      <c r="F16" s="1" t="s">
        <v>41</v>
      </c>
      <c r="G16" s="6">
        <f t="shared" si="1"/>
        <v>12.03208556</v>
      </c>
      <c r="H16" s="7"/>
      <c r="I16" s="4">
        <v>16.0</v>
      </c>
      <c r="J16" s="4">
        <f>SUMIF(E$1:E$501, "=16", G$1:G$501)</f>
        <v>23.17241379</v>
      </c>
      <c r="K16" s="3" t="s">
        <v>44</v>
      </c>
      <c r="L16" s="11">
        <f>SUMIF(D$1:D$501, "=tickets", G$1:G$501)</f>
        <v>1498.185843</v>
      </c>
    </row>
    <row r="17">
      <c r="A17" s="1" t="s">
        <v>45</v>
      </c>
      <c r="B17" s="2">
        <v>15.0</v>
      </c>
      <c r="C17" s="9" t="s">
        <v>18</v>
      </c>
      <c r="D17" s="1" t="s">
        <v>27</v>
      </c>
      <c r="E17" s="2">
        <v>1.0</v>
      </c>
      <c r="F17" s="1" t="s">
        <v>41</v>
      </c>
      <c r="G17" s="6">
        <f t="shared" si="1"/>
        <v>4.010695187</v>
      </c>
      <c r="H17" s="7"/>
      <c r="I17" s="2">
        <v>17.0</v>
      </c>
      <c r="J17" s="4">
        <f>SUMIF(E$1:E$501, "=17", G$1:G$501)</f>
        <v>6.44137931</v>
      </c>
      <c r="K17" s="3" t="s">
        <v>46</v>
      </c>
      <c r="L17" s="4">
        <f>SUMIF(D$1:D$501, "=transport", G$1:G$501)</f>
        <v>138.7366181</v>
      </c>
    </row>
    <row r="18">
      <c r="A18" s="8" t="s">
        <v>47</v>
      </c>
      <c r="B18" s="8">
        <v>7.0</v>
      </c>
      <c r="C18" s="8" t="s">
        <v>18</v>
      </c>
      <c r="D18" s="8" t="s">
        <v>19</v>
      </c>
      <c r="E18" s="8">
        <v>1.0</v>
      </c>
      <c r="F18" s="8" t="s">
        <v>41</v>
      </c>
      <c r="G18" s="6">
        <f t="shared" si="1"/>
        <v>1.871657754</v>
      </c>
      <c r="I18" s="2">
        <v>18.0</v>
      </c>
      <c r="J18" s="4">
        <f>SUMIF(E$1:E$501, "=18", G$1:G$501)</f>
        <v>0</v>
      </c>
      <c r="K18" s="8" t="s">
        <v>48</v>
      </c>
      <c r="L18" s="11">
        <f>SUMIF(D$1:D$501, "=visa", G$1:G$501)</f>
        <v>149</v>
      </c>
    </row>
    <row r="19">
      <c r="A19" s="8" t="s">
        <v>49</v>
      </c>
      <c r="B19" s="8">
        <v>5.0</v>
      </c>
      <c r="C19" s="8" t="s">
        <v>18</v>
      </c>
      <c r="D19" s="8" t="s">
        <v>32</v>
      </c>
      <c r="E19" s="8">
        <v>2.0</v>
      </c>
      <c r="F19" s="8" t="s">
        <v>50</v>
      </c>
      <c r="G19" s="6">
        <f t="shared" si="1"/>
        <v>1.336898396</v>
      </c>
      <c r="I19" s="2">
        <v>19.0</v>
      </c>
      <c r="J19" s="4">
        <f>SUMIF(E$1:E$501, "=19", G$1:G$501)</f>
        <v>18.51505128</v>
      </c>
      <c r="K19" s="3" t="s">
        <v>51</v>
      </c>
      <c r="L19" s="11">
        <f>SUMIF(D$1:D$501, "=lodging", G$1:G$501)</f>
        <v>85.87798997</v>
      </c>
    </row>
    <row r="20">
      <c r="A20" s="8" t="s">
        <v>52</v>
      </c>
      <c r="B20" s="8">
        <v>185.0</v>
      </c>
      <c r="C20" s="8" t="s">
        <v>53</v>
      </c>
      <c r="D20" s="8" t="s">
        <v>19</v>
      </c>
      <c r="E20" s="8">
        <v>2.0</v>
      </c>
      <c r="F20" s="8" t="s">
        <v>54</v>
      </c>
      <c r="G20" s="6">
        <f t="shared" si="1"/>
        <v>7.865646259</v>
      </c>
      <c r="I20" s="2">
        <v>20.0</v>
      </c>
      <c r="J20" s="4">
        <f>SUMIF(E$1:E$501, "=20", G$1:G$501)</f>
        <v>19.30558156</v>
      </c>
      <c r="K20" s="3" t="s">
        <v>55</v>
      </c>
      <c r="L20" s="4">
        <f>SUMIF(D$1:D$501, "=attractions", G$1:G$501)</f>
        <v>68.30482759</v>
      </c>
    </row>
    <row r="21">
      <c r="A21" s="8" t="s">
        <v>56</v>
      </c>
      <c r="B21" s="8">
        <v>39.0</v>
      </c>
      <c r="C21" s="8" t="s">
        <v>53</v>
      </c>
      <c r="D21" s="8" t="s">
        <v>23</v>
      </c>
      <c r="E21" s="8">
        <v>2.0</v>
      </c>
      <c r="F21" s="8" t="s">
        <v>57</v>
      </c>
      <c r="G21" s="6">
        <f t="shared" si="1"/>
        <v>1.658163265</v>
      </c>
      <c r="I21" s="2">
        <v>21.0</v>
      </c>
      <c r="J21" s="4">
        <f>SUMIF(E$1:E$501, "=21", G$1:G$501)</f>
        <v>0</v>
      </c>
      <c r="K21" s="3" t="s">
        <v>58</v>
      </c>
      <c r="L21" s="4">
        <f>SUMIF(D$1:D$501, "=meal", G$1:G$501)</f>
        <v>53.60083743</v>
      </c>
    </row>
    <row r="22">
      <c r="A22" s="8" t="s">
        <v>59</v>
      </c>
      <c r="B22" s="8">
        <v>13.5</v>
      </c>
      <c r="C22" s="8" t="s">
        <v>60</v>
      </c>
      <c r="D22" s="8" t="s">
        <v>19</v>
      </c>
      <c r="E22" s="8">
        <v>2.0</v>
      </c>
      <c r="F22" s="8" t="s">
        <v>3</v>
      </c>
      <c r="G22" s="6">
        <f t="shared" si="1"/>
        <v>15.16853933</v>
      </c>
      <c r="I22" s="2">
        <v>22.0</v>
      </c>
      <c r="J22" s="4">
        <f>SUMIF(E$1:E$501, "=22", G$1:G$501)</f>
        <v>0</v>
      </c>
      <c r="K22" s="3" t="s">
        <v>61</v>
      </c>
      <c r="L22" s="4">
        <f>SUMIF(D$1:D$501, "=snack", G$1:G$501)</f>
        <v>23.4530474</v>
      </c>
    </row>
    <row r="23">
      <c r="A23" s="8" t="s">
        <v>62</v>
      </c>
      <c r="B23" s="8">
        <v>79.0</v>
      </c>
      <c r="C23" s="8" t="s">
        <v>53</v>
      </c>
      <c r="D23" s="8" t="s">
        <v>27</v>
      </c>
      <c r="E23" s="8">
        <v>2.0</v>
      </c>
      <c r="F23" s="8" t="s">
        <v>57</v>
      </c>
      <c r="G23" s="6">
        <f t="shared" si="1"/>
        <v>3.358843537</v>
      </c>
      <c r="I23" s="2">
        <v>23.0</v>
      </c>
      <c r="J23" s="4">
        <f>SUMIF(E$1:E$501, "=23", G$1:G$501)</f>
        <v>0</v>
      </c>
      <c r="K23" s="7" t="s">
        <v>63</v>
      </c>
      <c r="L23" s="11">
        <f>SUMIF(D$1:D$501, "=wifi", G$1:G$501)</f>
        <v>15.73458988</v>
      </c>
    </row>
    <row r="24">
      <c r="A24" s="8" t="s">
        <v>64</v>
      </c>
      <c r="B24" s="8">
        <v>44.0</v>
      </c>
      <c r="C24" s="8" t="s">
        <v>53</v>
      </c>
      <c r="D24" s="8" t="s">
        <v>65</v>
      </c>
      <c r="E24" s="8">
        <v>2.0</v>
      </c>
      <c r="F24" s="8" t="s">
        <v>57</v>
      </c>
      <c r="G24" s="6">
        <f t="shared" si="1"/>
        <v>1.870748299</v>
      </c>
      <c r="I24" s="2">
        <v>24.0</v>
      </c>
      <c r="J24" s="4">
        <f>SUMIF(E$1:E$501, "=24", G$1:G$501)</f>
        <v>0</v>
      </c>
      <c r="K24" s="3" t="s">
        <v>66</v>
      </c>
      <c r="L24" s="11">
        <f>SUMIF(D$1:D$501, "=beer", G$1:G$501)</f>
        <v>10.81999278</v>
      </c>
    </row>
    <row r="25">
      <c r="A25" s="8" t="s">
        <v>67</v>
      </c>
      <c r="B25" s="8">
        <v>20.0</v>
      </c>
      <c r="C25" s="8" t="s">
        <v>53</v>
      </c>
      <c r="D25" s="8" t="s">
        <v>27</v>
      </c>
      <c r="E25" s="8">
        <v>2.0</v>
      </c>
      <c r="F25" s="8" t="s">
        <v>57</v>
      </c>
      <c r="G25" s="6">
        <f t="shared" si="1"/>
        <v>0.8503401361</v>
      </c>
      <c r="I25" s="2">
        <v>25.0</v>
      </c>
      <c r="J25" s="4">
        <f>SUMIF(E$1:E$501, "=25", G$1:G$501)</f>
        <v>0</v>
      </c>
      <c r="K25" s="8" t="s">
        <v>68</v>
      </c>
      <c r="L25" s="12">
        <f>SUMIF(D$1:D$501, "=other", G$1:G$501)</f>
        <v>10.37533796</v>
      </c>
    </row>
    <row r="26">
      <c r="A26" s="8" t="s">
        <v>69</v>
      </c>
      <c r="B26" s="8">
        <v>11.9</v>
      </c>
      <c r="C26" s="8" t="s">
        <v>60</v>
      </c>
      <c r="D26" s="8" t="s">
        <v>19</v>
      </c>
      <c r="E26" s="8">
        <v>3.0</v>
      </c>
      <c r="F26" s="8" t="s">
        <v>3</v>
      </c>
      <c r="G26" s="6">
        <f t="shared" si="1"/>
        <v>13.37078652</v>
      </c>
      <c r="I26" s="2">
        <v>26.0</v>
      </c>
      <c r="J26" s="4">
        <f>SUMIF(E$1:E$501, "=26", G$1:G$501)</f>
        <v>0</v>
      </c>
      <c r="K26" s="8" t="s">
        <v>70</v>
      </c>
      <c r="L26">
        <f>SUMIF(D$1:D$501, "=water", G$1:G$501)</f>
        <v>0.6896551724</v>
      </c>
    </row>
    <row r="27">
      <c r="A27" s="8" t="s">
        <v>71</v>
      </c>
      <c r="B27" s="8">
        <v>0.8</v>
      </c>
      <c r="C27" s="8" t="s">
        <v>60</v>
      </c>
      <c r="D27" s="8" t="s">
        <v>32</v>
      </c>
      <c r="E27" s="8">
        <v>2.0</v>
      </c>
      <c r="F27" s="8" t="s">
        <v>72</v>
      </c>
      <c r="G27" s="6">
        <f t="shared" si="1"/>
        <v>0.8988764045</v>
      </c>
      <c r="I27" s="2">
        <v>27.0</v>
      </c>
      <c r="J27" s="4">
        <f>SUMIF(E$1:E$501, "=27", G$1:G$501)</f>
        <v>0</v>
      </c>
    </row>
    <row r="28">
      <c r="A28" s="8" t="s">
        <v>73</v>
      </c>
      <c r="B28" s="8">
        <v>150.0</v>
      </c>
      <c r="C28" s="8" t="s">
        <v>1</v>
      </c>
      <c r="D28" s="8" t="s">
        <v>2</v>
      </c>
      <c r="E28" s="8">
        <v>0.0</v>
      </c>
      <c r="F28" s="8" t="s">
        <v>3</v>
      </c>
      <c r="G28" s="6">
        <f t="shared" si="1"/>
        <v>150</v>
      </c>
      <c r="I28" s="2">
        <v>28.0</v>
      </c>
      <c r="J28" s="4">
        <f>SUMIF(E$1:E$501, "=28", G$1:G$501)</f>
        <v>0</v>
      </c>
      <c r="K28" s="3" t="s">
        <v>74</v>
      </c>
      <c r="L28" s="4">
        <f>SUM(L16:L27)</f>
        <v>2054.778739</v>
      </c>
    </row>
    <row r="29">
      <c r="A29" s="8" t="s">
        <v>75</v>
      </c>
      <c r="B29" s="8">
        <v>0.3</v>
      </c>
      <c r="C29" s="8" t="s">
        <v>60</v>
      </c>
      <c r="D29" s="8" t="s">
        <v>27</v>
      </c>
      <c r="E29" s="8">
        <v>3.0</v>
      </c>
      <c r="F29" s="8" t="s">
        <v>76</v>
      </c>
      <c r="G29" s="6">
        <f t="shared" si="1"/>
        <v>0.3370786517</v>
      </c>
      <c r="I29" s="2">
        <v>29.0</v>
      </c>
      <c r="J29" s="4">
        <f>SUMIF(E$1:E$501, "=29", G$1:G$501)</f>
        <v>0</v>
      </c>
      <c r="K29" s="7" t="s">
        <v>77</v>
      </c>
      <c r="L29" s="13">
        <f>SUMIF(G1:G299, "&lt;&gt;")</f>
        <v>2054.778739</v>
      </c>
    </row>
    <row r="30">
      <c r="A30" s="8" t="s">
        <v>78</v>
      </c>
      <c r="B30" s="8">
        <v>0.9</v>
      </c>
      <c r="C30" s="8" t="s">
        <v>60</v>
      </c>
      <c r="D30" s="8" t="s">
        <v>19</v>
      </c>
      <c r="E30" s="8">
        <v>3.0</v>
      </c>
      <c r="F30" s="8" t="s">
        <v>76</v>
      </c>
      <c r="G30" s="6">
        <f t="shared" si="1"/>
        <v>1.011235955</v>
      </c>
      <c r="I30" s="2">
        <v>30.0</v>
      </c>
      <c r="J30" s="4">
        <f>SUMIF(E$1:E$501, "=30", G$1:G$501)</f>
        <v>0</v>
      </c>
    </row>
    <row r="31">
      <c r="A31" s="8" t="s">
        <v>79</v>
      </c>
      <c r="B31" s="8">
        <v>3.0</v>
      </c>
      <c r="C31" s="8" t="s">
        <v>60</v>
      </c>
      <c r="D31" s="8" t="s">
        <v>27</v>
      </c>
      <c r="E31" s="8">
        <v>3.0</v>
      </c>
      <c r="F31" s="8" t="s">
        <v>80</v>
      </c>
      <c r="G31" s="6">
        <f t="shared" si="1"/>
        <v>3.370786517</v>
      </c>
      <c r="I31" s="3" t="s">
        <v>81</v>
      </c>
      <c r="J31" s="4">
        <f>AVERAGEIF(J2:J16, "&lt;&gt;0")</f>
        <v>30.55915788</v>
      </c>
    </row>
    <row r="32">
      <c r="A32" s="8" t="s">
        <v>82</v>
      </c>
      <c r="B32" s="8">
        <v>1.0</v>
      </c>
      <c r="C32" s="8" t="s">
        <v>60</v>
      </c>
      <c r="D32" s="8" t="s">
        <v>32</v>
      </c>
      <c r="E32" s="8">
        <v>3.0</v>
      </c>
      <c r="F32" s="8" t="s">
        <v>80</v>
      </c>
      <c r="G32" s="6">
        <f t="shared" si="1"/>
        <v>1.123595506</v>
      </c>
      <c r="I32" s="4"/>
      <c r="J32" s="4"/>
    </row>
    <row r="33">
      <c r="A33" s="8" t="s">
        <v>83</v>
      </c>
      <c r="B33" s="8">
        <v>4.5</v>
      </c>
      <c r="C33" s="8" t="s">
        <v>60</v>
      </c>
      <c r="D33" s="8" t="s">
        <v>27</v>
      </c>
      <c r="E33" s="8">
        <v>3.0</v>
      </c>
      <c r="F33" s="8" t="s">
        <v>80</v>
      </c>
      <c r="G33" s="6">
        <f t="shared" si="1"/>
        <v>5.056179775</v>
      </c>
      <c r="I33" s="4"/>
      <c r="J33" s="4"/>
    </row>
    <row r="34">
      <c r="A34" s="8" t="s">
        <v>84</v>
      </c>
      <c r="B34" s="8">
        <v>0.9</v>
      </c>
      <c r="C34" s="8" t="s">
        <v>60</v>
      </c>
      <c r="D34" s="8" t="s">
        <v>32</v>
      </c>
      <c r="E34" s="8">
        <v>3.0</v>
      </c>
      <c r="F34" s="8" t="s">
        <v>80</v>
      </c>
      <c r="G34" s="6">
        <f t="shared" si="1"/>
        <v>1.011235955</v>
      </c>
      <c r="I34" s="4"/>
      <c r="J34" s="4"/>
    </row>
    <row r="35">
      <c r="A35" s="8" t="s">
        <v>85</v>
      </c>
      <c r="B35" s="8">
        <v>0.9</v>
      </c>
      <c r="C35" s="8" t="s">
        <v>60</v>
      </c>
      <c r="D35" s="8" t="s">
        <v>19</v>
      </c>
      <c r="E35" s="8">
        <v>3.0</v>
      </c>
      <c r="F35" s="8" t="s">
        <v>86</v>
      </c>
      <c r="G35" s="6">
        <f t="shared" si="1"/>
        <v>1.011235955</v>
      </c>
      <c r="I35" s="4"/>
      <c r="J35" s="4"/>
    </row>
    <row r="36">
      <c r="A36" s="8" t="s">
        <v>87</v>
      </c>
      <c r="B36" s="8">
        <v>0.4</v>
      </c>
      <c r="C36" s="8" t="s">
        <v>60</v>
      </c>
      <c r="D36" s="8" t="s">
        <v>32</v>
      </c>
      <c r="E36" s="8">
        <v>3.0</v>
      </c>
      <c r="F36" s="8" t="s">
        <v>76</v>
      </c>
      <c r="G36" s="6">
        <f t="shared" si="1"/>
        <v>0.4494382022</v>
      </c>
      <c r="I36" s="4"/>
      <c r="J36" s="4"/>
    </row>
    <row r="37">
      <c r="A37" s="8" t="s">
        <v>49</v>
      </c>
      <c r="B37" s="8">
        <v>1.6</v>
      </c>
      <c r="C37" s="8" t="s">
        <v>60</v>
      </c>
      <c r="D37" s="8" t="s">
        <v>23</v>
      </c>
      <c r="E37" s="8">
        <v>3.0</v>
      </c>
      <c r="F37" s="8" t="s">
        <v>76</v>
      </c>
      <c r="G37" s="6">
        <f t="shared" si="1"/>
        <v>1.797752809</v>
      </c>
      <c r="I37" s="4"/>
      <c r="J37" s="4"/>
    </row>
    <row r="38">
      <c r="A38" s="8" t="s">
        <v>88</v>
      </c>
      <c r="B38" s="8">
        <v>3.3</v>
      </c>
      <c r="C38" s="8" t="s">
        <v>60</v>
      </c>
      <c r="D38" s="8" t="s">
        <v>65</v>
      </c>
      <c r="E38" s="8">
        <v>3.0</v>
      </c>
      <c r="F38" s="8" t="s">
        <v>76</v>
      </c>
      <c r="G38" s="6">
        <f t="shared" si="1"/>
        <v>3.707865169</v>
      </c>
    </row>
    <row r="39">
      <c r="A39" s="8" t="s">
        <v>89</v>
      </c>
      <c r="B39" s="8">
        <v>2.9</v>
      </c>
      <c r="C39" s="8" t="s">
        <v>60</v>
      </c>
      <c r="D39" s="8" t="s">
        <v>27</v>
      </c>
      <c r="E39" s="8">
        <v>3.0</v>
      </c>
      <c r="F39" s="8" t="s">
        <v>76</v>
      </c>
      <c r="G39" s="6">
        <f t="shared" si="1"/>
        <v>3.258426966</v>
      </c>
    </row>
    <row r="40">
      <c r="A40" s="8" t="s">
        <v>90</v>
      </c>
      <c r="B40" s="8">
        <v>0.8</v>
      </c>
      <c r="C40" s="8" t="s">
        <v>60</v>
      </c>
      <c r="D40" s="8" t="s">
        <v>32</v>
      </c>
      <c r="E40" s="8">
        <v>3.0</v>
      </c>
      <c r="F40" s="14" t="s">
        <v>91</v>
      </c>
      <c r="G40" s="6">
        <f t="shared" si="1"/>
        <v>0.8988764045</v>
      </c>
    </row>
    <row r="41">
      <c r="A41" s="8" t="s">
        <v>92</v>
      </c>
      <c r="B41" s="8">
        <v>1.1</v>
      </c>
      <c r="C41" s="8" t="s">
        <v>60</v>
      </c>
      <c r="D41" s="8" t="s">
        <v>32</v>
      </c>
      <c r="E41" s="8">
        <v>3.0</v>
      </c>
      <c r="F41" s="14" t="s">
        <v>91</v>
      </c>
      <c r="G41" s="6">
        <f t="shared" si="1"/>
        <v>1.235955056</v>
      </c>
    </row>
    <row r="42">
      <c r="A42" s="8" t="s">
        <v>93</v>
      </c>
      <c r="B42" s="8">
        <v>1650.0</v>
      </c>
      <c r="C42" s="8" t="s">
        <v>8</v>
      </c>
      <c r="D42" s="8" t="s">
        <v>19</v>
      </c>
      <c r="E42" s="8">
        <v>4.0</v>
      </c>
      <c r="F42" s="8" t="s">
        <v>94</v>
      </c>
      <c r="G42" s="6">
        <f t="shared" si="1"/>
        <v>6.010928962</v>
      </c>
    </row>
    <row r="43">
      <c r="A43" s="8" t="s">
        <v>95</v>
      </c>
      <c r="B43" s="8">
        <v>640.0</v>
      </c>
      <c r="C43" s="8" t="s">
        <v>8</v>
      </c>
      <c r="D43" s="8" t="s">
        <v>27</v>
      </c>
      <c r="E43" s="8">
        <v>4.0</v>
      </c>
      <c r="F43" s="8" t="s">
        <v>94</v>
      </c>
      <c r="G43" s="6">
        <f t="shared" si="1"/>
        <v>2.33151184</v>
      </c>
    </row>
    <row r="44">
      <c r="A44" s="8" t="s">
        <v>96</v>
      </c>
      <c r="B44" s="8">
        <v>120.0</v>
      </c>
      <c r="C44" s="8" t="s">
        <v>8</v>
      </c>
      <c r="D44" s="8" t="s">
        <v>32</v>
      </c>
      <c r="E44" s="8">
        <v>4.0</v>
      </c>
      <c r="F44" s="8" t="s">
        <v>94</v>
      </c>
      <c r="G44" s="6">
        <f t="shared" si="1"/>
        <v>0.4371584699</v>
      </c>
    </row>
    <row r="45">
      <c r="A45" s="8" t="s">
        <v>97</v>
      </c>
      <c r="B45" s="8">
        <v>100.0</v>
      </c>
      <c r="C45" s="8" t="s">
        <v>8</v>
      </c>
      <c r="D45" s="8" t="s">
        <v>32</v>
      </c>
      <c r="E45" s="8">
        <v>4.0</v>
      </c>
      <c r="F45" s="8" t="s">
        <v>94</v>
      </c>
      <c r="G45" s="6">
        <f t="shared" si="1"/>
        <v>0.364298725</v>
      </c>
    </row>
    <row r="46">
      <c r="A46" s="8" t="s">
        <v>98</v>
      </c>
      <c r="B46" s="8">
        <v>550.0</v>
      </c>
      <c r="C46" s="8" t="s">
        <v>8</v>
      </c>
      <c r="D46" s="8" t="s">
        <v>27</v>
      </c>
      <c r="E46" s="8">
        <v>4.0</v>
      </c>
      <c r="F46" s="8" t="s">
        <v>94</v>
      </c>
      <c r="G46" s="6">
        <f t="shared" si="1"/>
        <v>2.003642987</v>
      </c>
    </row>
    <row r="47">
      <c r="A47" s="8" t="s">
        <v>99</v>
      </c>
      <c r="B47" s="8">
        <v>230.0</v>
      </c>
      <c r="C47" s="8" t="s">
        <v>8</v>
      </c>
      <c r="D47" s="8" t="s">
        <v>32</v>
      </c>
      <c r="E47" s="8">
        <v>4.0</v>
      </c>
      <c r="F47" s="8" t="s">
        <v>94</v>
      </c>
      <c r="G47" s="6">
        <f t="shared" si="1"/>
        <v>0.8378870674</v>
      </c>
    </row>
    <row r="48">
      <c r="A48" s="8" t="s">
        <v>100</v>
      </c>
      <c r="B48" s="8">
        <v>2000.0</v>
      </c>
      <c r="C48" s="8" t="s">
        <v>8</v>
      </c>
      <c r="D48" s="8" t="s">
        <v>27</v>
      </c>
      <c r="E48" s="8">
        <v>4.0</v>
      </c>
      <c r="F48" s="8" t="s">
        <v>94</v>
      </c>
      <c r="G48" s="6">
        <f t="shared" si="1"/>
        <v>7.285974499</v>
      </c>
    </row>
    <row r="49">
      <c r="A49" s="8" t="s">
        <v>101</v>
      </c>
      <c r="B49" s="8">
        <v>850.0</v>
      </c>
      <c r="C49" s="8" t="s">
        <v>8</v>
      </c>
      <c r="D49" s="8" t="s">
        <v>32</v>
      </c>
      <c r="E49" s="8">
        <v>4.0</v>
      </c>
      <c r="F49" s="8" t="s">
        <v>94</v>
      </c>
      <c r="G49" s="6">
        <f t="shared" si="1"/>
        <v>3.096539162</v>
      </c>
    </row>
    <row r="50">
      <c r="A50" s="8" t="s">
        <v>102</v>
      </c>
      <c r="B50" s="8">
        <v>20.0</v>
      </c>
      <c r="C50" s="8" t="s">
        <v>103</v>
      </c>
      <c r="D50" s="8" t="s">
        <v>27</v>
      </c>
      <c r="E50" s="8">
        <v>4.0</v>
      </c>
      <c r="F50" s="8" t="s">
        <v>104</v>
      </c>
      <c r="G50" s="6">
        <f t="shared" si="1"/>
        <v>4.8828125</v>
      </c>
    </row>
    <row r="51">
      <c r="A51" s="8" t="s">
        <v>105</v>
      </c>
      <c r="B51" s="8">
        <v>6.0</v>
      </c>
      <c r="C51" s="8" t="s">
        <v>103</v>
      </c>
      <c r="D51" s="8" t="s">
        <v>32</v>
      </c>
      <c r="E51" s="8">
        <v>4.0</v>
      </c>
      <c r="F51" s="8" t="s">
        <v>104</v>
      </c>
      <c r="G51" s="6">
        <f t="shared" si="1"/>
        <v>1.46484375</v>
      </c>
    </row>
    <row r="52">
      <c r="A52" s="8" t="s">
        <v>106</v>
      </c>
      <c r="B52" s="8">
        <v>10.5</v>
      </c>
      <c r="C52" s="8" t="s">
        <v>107</v>
      </c>
      <c r="D52" s="8" t="s">
        <v>19</v>
      </c>
      <c r="E52" s="8">
        <v>4.0</v>
      </c>
      <c r="F52" s="8" t="s">
        <v>108</v>
      </c>
      <c r="G52" s="6">
        <f t="shared" si="1"/>
        <v>2.861035422</v>
      </c>
    </row>
    <row r="53">
      <c r="A53" s="8" t="s">
        <v>109</v>
      </c>
      <c r="B53" s="8">
        <v>50.0</v>
      </c>
      <c r="C53" s="8" t="s">
        <v>1</v>
      </c>
      <c r="D53" s="8" t="s">
        <v>110</v>
      </c>
      <c r="E53" s="8">
        <v>5.0</v>
      </c>
      <c r="F53" s="8" t="s">
        <v>111</v>
      </c>
      <c r="G53" s="6">
        <f t="shared" si="1"/>
        <v>50</v>
      </c>
    </row>
    <row r="54">
      <c r="A54" s="8" t="s">
        <v>112</v>
      </c>
      <c r="B54" s="8">
        <v>134.0</v>
      </c>
      <c r="C54" s="8" t="s">
        <v>1</v>
      </c>
      <c r="D54" s="8" t="s">
        <v>2</v>
      </c>
      <c r="E54" s="8">
        <v>0.0</v>
      </c>
      <c r="F54" s="8" t="s">
        <v>3</v>
      </c>
      <c r="G54" s="6">
        <f t="shared" si="1"/>
        <v>134</v>
      </c>
    </row>
    <row r="55">
      <c r="A55" s="8" t="s">
        <v>113</v>
      </c>
      <c r="B55" s="8">
        <v>5000.0</v>
      </c>
      <c r="C55" s="8" t="s">
        <v>114</v>
      </c>
      <c r="D55" s="8" t="s">
        <v>19</v>
      </c>
      <c r="E55" s="8">
        <v>5.0</v>
      </c>
      <c r="F55" s="8" t="s">
        <v>115</v>
      </c>
      <c r="G55" s="6">
        <f t="shared" si="1"/>
        <v>2.235136343</v>
      </c>
    </row>
    <row r="56">
      <c r="A56" s="8" t="s">
        <v>116</v>
      </c>
      <c r="B56" s="8">
        <v>5000.0</v>
      </c>
      <c r="C56" s="8" t="s">
        <v>114</v>
      </c>
      <c r="D56" s="8" t="s">
        <v>19</v>
      </c>
      <c r="E56" s="8">
        <v>5.0</v>
      </c>
      <c r="F56" s="8" t="s">
        <v>115</v>
      </c>
      <c r="G56" s="6">
        <f t="shared" si="1"/>
        <v>2.235136343</v>
      </c>
    </row>
    <row r="57">
      <c r="A57" s="8" t="s">
        <v>117</v>
      </c>
      <c r="B57" s="8">
        <v>10000.0</v>
      </c>
      <c r="C57" s="8" t="s">
        <v>114</v>
      </c>
      <c r="D57" s="8" t="s">
        <v>43</v>
      </c>
      <c r="E57" s="8">
        <v>5.0</v>
      </c>
      <c r="F57" s="8" t="s">
        <v>118</v>
      </c>
      <c r="G57" s="6">
        <f t="shared" si="1"/>
        <v>4.470272687</v>
      </c>
    </row>
    <row r="58">
      <c r="A58" s="8" t="s">
        <v>119</v>
      </c>
      <c r="B58" s="8">
        <v>1500.0</v>
      </c>
      <c r="C58" s="8" t="s">
        <v>114</v>
      </c>
      <c r="D58" s="8" t="s">
        <v>27</v>
      </c>
      <c r="E58" s="8">
        <v>5.0</v>
      </c>
      <c r="F58" s="8" t="s">
        <v>118</v>
      </c>
      <c r="G58" s="6">
        <f t="shared" si="1"/>
        <v>0.670540903</v>
      </c>
    </row>
    <row r="59">
      <c r="A59" s="8" t="s">
        <v>120</v>
      </c>
      <c r="B59" s="8">
        <v>2000.0</v>
      </c>
      <c r="C59" s="8" t="s">
        <v>114</v>
      </c>
      <c r="D59" s="8" t="s">
        <v>37</v>
      </c>
      <c r="E59" s="8">
        <v>5.0</v>
      </c>
      <c r="F59" s="8" t="s">
        <v>118</v>
      </c>
      <c r="G59" s="6">
        <f t="shared" si="1"/>
        <v>0.8940545373</v>
      </c>
    </row>
    <row r="60">
      <c r="A60" s="8" t="s">
        <v>121</v>
      </c>
      <c r="B60" s="8">
        <v>4.0</v>
      </c>
      <c r="C60" s="8" t="s">
        <v>1</v>
      </c>
      <c r="D60" s="8" t="s">
        <v>37</v>
      </c>
      <c r="E60" s="8">
        <v>6.0</v>
      </c>
      <c r="F60" s="8" t="s">
        <v>118</v>
      </c>
      <c r="G60" s="6">
        <f t="shared" si="1"/>
        <v>4</v>
      </c>
    </row>
    <row r="61">
      <c r="A61" s="8" t="s">
        <v>122</v>
      </c>
      <c r="B61" s="8">
        <v>75.0</v>
      </c>
      <c r="C61" s="8" t="s">
        <v>1</v>
      </c>
      <c r="D61" s="8" t="s">
        <v>110</v>
      </c>
      <c r="E61" s="8">
        <v>6.0</v>
      </c>
      <c r="F61" s="8" t="s">
        <v>118</v>
      </c>
      <c r="G61" s="6">
        <f t="shared" si="1"/>
        <v>75</v>
      </c>
    </row>
    <row r="62">
      <c r="A62" s="8" t="s">
        <v>123</v>
      </c>
      <c r="B62" s="8">
        <v>4500.0</v>
      </c>
      <c r="C62" s="8" t="s">
        <v>124</v>
      </c>
      <c r="D62" s="8" t="s">
        <v>19</v>
      </c>
      <c r="E62" s="8">
        <v>6.0</v>
      </c>
      <c r="F62" s="8" t="s">
        <v>118</v>
      </c>
      <c r="G62" s="6">
        <f t="shared" si="1"/>
        <v>6.206896552</v>
      </c>
    </row>
    <row r="63">
      <c r="A63" s="8" t="s">
        <v>125</v>
      </c>
      <c r="B63" s="8">
        <v>8000.0</v>
      </c>
      <c r="C63" s="8" t="s">
        <v>124</v>
      </c>
      <c r="D63" s="8" t="s">
        <v>19</v>
      </c>
      <c r="E63" s="8">
        <v>6.0</v>
      </c>
      <c r="F63" s="8" t="s">
        <v>126</v>
      </c>
      <c r="G63" s="6">
        <f t="shared" si="1"/>
        <v>11.03448276</v>
      </c>
    </row>
    <row r="64">
      <c r="A64" s="8" t="s">
        <v>127</v>
      </c>
      <c r="B64" s="8">
        <v>900.0</v>
      </c>
      <c r="C64" s="8" t="s">
        <v>124</v>
      </c>
      <c r="D64" s="8" t="s">
        <v>27</v>
      </c>
      <c r="E64" s="8">
        <v>6.0</v>
      </c>
      <c r="F64" s="8" t="s">
        <v>126</v>
      </c>
      <c r="G64" s="6">
        <f t="shared" si="1"/>
        <v>1.24137931</v>
      </c>
    </row>
    <row r="65">
      <c r="A65" s="8" t="s">
        <v>128</v>
      </c>
      <c r="B65" s="15">
        <v>25800.0</v>
      </c>
      <c r="C65" s="8" t="s">
        <v>124</v>
      </c>
      <c r="D65" s="8" t="s">
        <v>19</v>
      </c>
      <c r="E65" s="8">
        <v>7.0</v>
      </c>
      <c r="F65" s="8" t="s">
        <v>129</v>
      </c>
      <c r="G65" s="6">
        <f t="shared" si="1"/>
        <v>35.5862069</v>
      </c>
    </row>
    <row r="66">
      <c r="A66" s="8" t="s">
        <v>130</v>
      </c>
      <c r="B66" s="8">
        <v>100.0</v>
      </c>
      <c r="C66" s="8" t="s">
        <v>124</v>
      </c>
      <c r="D66" s="8" t="s">
        <v>32</v>
      </c>
      <c r="E66" s="8">
        <v>7.0</v>
      </c>
      <c r="F66" s="8" t="s">
        <v>129</v>
      </c>
      <c r="G66" s="6">
        <f t="shared" si="1"/>
        <v>0.1379310345</v>
      </c>
    </row>
    <row r="67">
      <c r="A67" s="8" t="s">
        <v>131</v>
      </c>
      <c r="B67" s="8">
        <v>1100.0</v>
      </c>
      <c r="C67" s="8" t="s">
        <v>124</v>
      </c>
      <c r="D67" s="8" t="s">
        <v>27</v>
      </c>
      <c r="E67" s="8">
        <v>7.0</v>
      </c>
      <c r="F67" s="8" t="s">
        <v>129</v>
      </c>
      <c r="G67" s="6">
        <f t="shared" si="1"/>
        <v>1.517241379</v>
      </c>
    </row>
    <row r="68">
      <c r="A68" s="8" t="s">
        <v>132</v>
      </c>
      <c r="B68" s="8">
        <v>440.0</v>
      </c>
      <c r="C68" s="8" t="s">
        <v>124</v>
      </c>
      <c r="D68" s="8" t="s">
        <v>27</v>
      </c>
      <c r="E68" s="8">
        <v>7.0</v>
      </c>
      <c r="F68" s="8" t="s">
        <v>129</v>
      </c>
      <c r="G68" s="6">
        <f t="shared" si="1"/>
        <v>0.6068965517</v>
      </c>
    </row>
    <row r="69">
      <c r="A69" s="8" t="s">
        <v>133</v>
      </c>
      <c r="B69" s="8">
        <v>400.0</v>
      </c>
      <c r="C69" s="8" t="s">
        <v>124</v>
      </c>
      <c r="D69" s="8" t="s">
        <v>27</v>
      </c>
      <c r="E69" s="8">
        <v>8.0</v>
      </c>
      <c r="F69" s="8" t="s">
        <v>134</v>
      </c>
      <c r="G69" s="6">
        <f t="shared" si="1"/>
        <v>0.5517241379</v>
      </c>
    </row>
    <row r="70">
      <c r="A70" s="8" t="s">
        <v>135</v>
      </c>
      <c r="B70" s="8">
        <v>350.0</v>
      </c>
      <c r="C70" s="8" t="s">
        <v>124</v>
      </c>
      <c r="D70" s="8" t="s">
        <v>32</v>
      </c>
      <c r="E70" s="8">
        <v>8.0</v>
      </c>
      <c r="F70" s="8" t="s">
        <v>134</v>
      </c>
      <c r="G70" s="6">
        <f t="shared" si="1"/>
        <v>0.4827586207</v>
      </c>
    </row>
    <row r="71">
      <c r="A71" s="8" t="s">
        <v>136</v>
      </c>
      <c r="B71" s="8">
        <v>520.0</v>
      </c>
      <c r="C71" s="8" t="s">
        <v>124</v>
      </c>
      <c r="D71" s="8" t="s">
        <v>32</v>
      </c>
      <c r="E71" s="8">
        <v>8.0</v>
      </c>
      <c r="F71" s="8" t="s">
        <v>134</v>
      </c>
      <c r="G71" s="6">
        <f t="shared" si="1"/>
        <v>0.7172413793</v>
      </c>
    </row>
    <row r="72">
      <c r="A72" s="8" t="s">
        <v>3</v>
      </c>
      <c r="B72" s="8">
        <v>2000.0</v>
      </c>
      <c r="C72" s="8" t="s">
        <v>124</v>
      </c>
      <c r="D72" s="8" t="s">
        <v>23</v>
      </c>
      <c r="E72" s="8">
        <v>8.0</v>
      </c>
      <c r="F72" s="8" t="s">
        <v>134</v>
      </c>
      <c r="G72" s="6">
        <f t="shared" si="1"/>
        <v>2.75862069</v>
      </c>
    </row>
    <row r="73">
      <c r="A73" s="8" t="s">
        <v>137</v>
      </c>
      <c r="B73" s="8">
        <v>900.0</v>
      </c>
      <c r="C73" s="8" t="s">
        <v>124</v>
      </c>
      <c r="D73" s="8" t="s">
        <v>65</v>
      </c>
      <c r="E73" s="8">
        <v>9.0</v>
      </c>
      <c r="F73" s="8" t="s">
        <v>138</v>
      </c>
      <c r="G73" s="6">
        <f t="shared" si="1"/>
        <v>1.24137931</v>
      </c>
    </row>
    <row r="74">
      <c r="A74" s="8" t="s">
        <v>139</v>
      </c>
      <c r="B74" s="8">
        <v>2000.0</v>
      </c>
      <c r="C74" s="8" t="s">
        <v>124</v>
      </c>
      <c r="D74" s="8" t="s">
        <v>65</v>
      </c>
      <c r="E74" s="8">
        <v>10.0</v>
      </c>
      <c r="F74" s="8" t="s">
        <v>140</v>
      </c>
      <c r="G74" s="6">
        <f t="shared" si="1"/>
        <v>2.75862069</v>
      </c>
    </row>
    <row r="75">
      <c r="A75" s="8" t="s">
        <v>141</v>
      </c>
      <c r="B75" s="8">
        <v>2090.0</v>
      </c>
      <c r="C75" s="8" t="s">
        <v>124</v>
      </c>
      <c r="D75" s="8" t="s">
        <v>32</v>
      </c>
      <c r="E75" s="8">
        <v>11.0</v>
      </c>
      <c r="F75" s="8" t="s">
        <v>140</v>
      </c>
      <c r="G75" s="6">
        <f t="shared" si="1"/>
        <v>2.882758621</v>
      </c>
    </row>
    <row r="76">
      <c r="A76" s="8" t="s">
        <v>142</v>
      </c>
      <c r="B76" s="8">
        <v>5000.0</v>
      </c>
      <c r="C76" s="8" t="s">
        <v>124</v>
      </c>
      <c r="D76" s="8" t="s">
        <v>43</v>
      </c>
      <c r="E76" s="8">
        <v>11.0</v>
      </c>
      <c r="F76" s="8" t="s">
        <v>143</v>
      </c>
      <c r="G76" s="6">
        <f t="shared" si="1"/>
        <v>6.896551724</v>
      </c>
    </row>
    <row r="77">
      <c r="A77" s="8" t="s">
        <v>144</v>
      </c>
      <c r="B77" s="8">
        <v>14521.0</v>
      </c>
      <c r="C77" s="8" t="s">
        <v>124</v>
      </c>
      <c r="D77" s="8" t="s">
        <v>145</v>
      </c>
      <c r="E77" s="8">
        <v>13.0</v>
      </c>
      <c r="F77" s="8" t="s">
        <v>146</v>
      </c>
      <c r="G77" s="6">
        <f t="shared" si="1"/>
        <v>20.02896552</v>
      </c>
    </row>
    <row r="78">
      <c r="A78" s="8" t="s">
        <v>147</v>
      </c>
      <c r="B78" s="8">
        <v>2500.0</v>
      </c>
      <c r="C78" s="8" t="s">
        <v>124</v>
      </c>
      <c r="D78" s="8" t="s">
        <v>32</v>
      </c>
      <c r="E78" s="8">
        <v>13.0</v>
      </c>
      <c r="F78" s="8" t="s">
        <v>146</v>
      </c>
      <c r="G78" s="6">
        <f t="shared" si="1"/>
        <v>3.448275862</v>
      </c>
    </row>
    <row r="79">
      <c r="A79" s="8" t="s">
        <v>148</v>
      </c>
      <c r="B79" s="8">
        <v>26000.0</v>
      </c>
      <c r="C79" s="8" t="s">
        <v>124</v>
      </c>
      <c r="D79" s="8" t="s">
        <v>145</v>
      </c>
      <c r="E79" s="8">
        <v>13.0</v>
      </c>
      <c r="F79" s="8" t="s">
        <v>146</v>
      </c>
      <c r="G79" s="6">
        <f t="shared" si="1"/>
        <v>35.86206897</v>
      </c>
    </row>
    <row r="80">
      <c r="A80" s="8" t="s">
        <v>149</v>
      </c>
      <c r="B80" s="8">
        <v>7000.0</v>
      </c>
      <c r="C80" s="8" t="s">
        <v>124</v>
      </c>
      <c r="D80" s="8" t="s">
        <v>145</v>
      </c>
      <c r="E80" s="8">
        <v>14.0</v>
      </c>
      <c r="F80" s="8" t="s">
        <v>150</v>
      </c>
      <c r="G80" s="6">
        <f t="shared" si="1"/>
        <v>9.655172414</v>
      </c>
    </row>
    <row r="81">
      <c r="A81" s="8" t="s">
        <v>151</v>
      </c>
      <c r="B81" s="8">
        <v>14000.0</v>
      </c>
      <c r="C81" s="8" t="s">
        <v>124</v>
      </c>
      <c r="D81" s="8" t="s">
        <v>43</v>
      </c>
      <c r="E81" s="8">
        <v>15.0</v>
      </c>
      <c r="F81" s="8" t="s">
        <v>150</v>
      </c>
      <c r="G81" s="6">
        <f t="shared" si="1"/>
        <v>19.31034483</v>
      </c>
    </row>
    <row r="82">
      <c r="A82" s="8" t="s">
        <v>152</v>
      </c>
      <c r="B82" s="8">
        <v>2000.0</v>
      </c>
      <c r="C82" s="8" t="s">
        <v>124</v>
      </c>
      <c r="D82" s="8" t="s">
        <v>145</v>
      </c>
      <c r="E82" s="8">
        <v>16.0</v>
      </c>
      <c r="F82" s="8" t="s">
        <v>129</v>
      </c>
      <c r="G82" s="6">
        <f t="shared" si="1"/>
        <v>2.75862069</v>
      </c>
    </row>
    <row r="83">
      <c r="A83" s="8" t="s">
        <v>153</v>
      </c>
      <c r="B83" s="8">
        <v>13500.0</v>
      </c>
      <c r="C83" s="8" t="s">
        <v>124</v>
      </c>
      <c r="D83" s="8" t="s">
        <v>43</v>
      </c>
      <c r="E83" s="8">
        <v>16.0</v>
      </c>
      <c r="F83" s="8" t="s">
        <v>129</v>
      </c>
      <c r="G83" s="6">
        <f t="shared" si="1"/>
        <v>18.62068966</v>
      </c>
    </row>
    <row r="84">
      <c r="A84" s="8" t="s">
        <v>154</v>
      </c>
      <c r="B84" s="8">
        <v>500.0</v>
      </c>
      <c r="C84" s="8" t="s">
        <v>124</v>
      </c>
      <c r="D84" s="8" t="s">
        <v>155</v>
      </c>
      <c r="E84" s="8">
        <v>16.0</v>
      </c>
      <c r="F84" s="8" t="s">
        <v>129</v>
      </c>
      <c r="G84" s="6">
        <f t="shared" si="1"/>
        <v>0.6896551724</v>
      </c>
    </row>
    <row r="85">
      <c r="A85" s="8" t="s">
        <v>127</v>
      </c>
      <c r="B85" s="8">
        <v>700.0</v>
      </c>
      <c r="C85" s="8" t="s">
        <v>124</v>
      </c>
      <c r="D85" s="8" t="s">
        <v>27</v>
      </c>
      <c r="E85" s="8">
        <v>16.0</v>
      </c>
      <c r="F85" s="8" t="s">
        <v>129</v>
      </c>
      <c r="G85" s="6">
        <f t="shared" si="1"/>
        <v>0.9655172414</v>
      </c>
    </row>
    <row r="86">
      <c r="A86" s="8" t="s">
        <v>156</v>
      </c>
      <c r="B86" s="8">
        <v>100.0</v>
      </c>
      <c r="C86" s="8" t="s">
        <v>124</v>
      </c>
      <c r="D86" s="8" t="s">
        <v>19</v>
      </c>
      <c r="E86" s="8">
        <v>16.0</v>
      </c>
      <c r="F86" s="8" t="s">
        <v>129</v>
      </c>
      <c r="G86" s="6">
        <f t="shared" si="1"/>
        <v>0.1379310345</v>
      </c>
    </row>
    <row r="87">
      <c r="A87" s="8" t="s">
        <v>157</v>
      </c>
      <c r="B87" s="8">
        <v>100.0</v>
      </c>
      <c r="C87" s="8" t="s">
        <v>124</v>
      </c>
      <c r="D87" s="8" t="s">
        <v>19</v>
      </c>
      <c r="E87" s="8">
        <v>17.0</v>
      </c>
      <c r="F87" s="8" t="s">
        <v>129</v>
      </c>
      <c r="G87" s="6">
        <f t="shared" si="1"/>
        <v>0.1379310345</v>
      </c>
    </row>
    <row r="88">
      <c r="A88" s="8" t="s">
        <v>158</v>
      </c>
      <c r="B88" s="8">
        <v>400.0</v>
      </c>
      <c r="C88" s="8" t="s">
        <v>124</v>
      </c>
      <c r="D88" s="8" t="s">
        <v>19</v>
      </c>
      <c r="E88" s="8">
        <v>17.0</v>
      </c>
      <c r="F88" s="8" t="s">
        <v>129</v>
      </c>
      <c r="G88" s="6">
        <f t="shared" si="1"/>
        <v>0.5517241379</v>
      </c>
    </row>
    <row r="89">
      <c r="A89" s="8" t="s">
        <v>159</v>
      </c>
      <c r="B89" s="8">
        <v>1000.0</v>
      </c>
      <c r="C89" s="8" t="s">
        <v>124</v>
      </c>
      <c r="D89" s="8" t="s">
        <v>23</v>
      </c>
      <c r="E89" s="8">
        <v>17.0</v>
      </c>
      <c r="F89" s="8" t="s">
        <v>129</v>
      </c>
      <c r="G89" s="6">
        <f t="shared" si="1"/>
        <v>1.379310345</v>
      </c>
    </row>
    <row r="90">
      <c r="A90" s="8" t="s">
        <v>160</v>
      </c>
      <c r="B90" s="8">
        <v>1000.0</v>
      </c>
      <c r="C90" s="8" t="s">
        <v>124</v>
      </c>
      <c r="D90" s="8" t="s">
        <v>27</v>
      </c>
      <c r="E90" s="8">
        <v>17.0</v>
      </c>
      <c r="F90" s="8" t="s">
        <v>129</v>
      </c>
      <c r="G90" s="6">
        <f t="shared" si="1"/>
        <v>1.379310345</v>
      </c>
    </row>
    <row r="91">
      <c r="A91" s="8" t="s">
        <v>161</v>
      </c>
      <c r="B91" s="8">
        <v>320.0</v>
      </c>
      <c r="C91" s="8" t="s">
        <v>124</v>
      </c>
      <c r="D91" s="8" t="s">
        <v>32</v>
      </c>
      <c r="E91" s="8">
        <v>17.0</v>
      </c>
      <c r="F91" s="8" t="s">
        <v>129</v>
      </c>
      <c r="G91" s="6">
        <f t="shared" si="1"/>
        <v>0.4413793103</v>
      </c>
    </row>
    <row r="92">
      <c r="A92" s="8" t="s">
        <v>162</v>
      </c>
      <c r="B92" s="8">
        <v>600.0</v>
      </c>
      <c r="C92" s="8" t="s">
        <v>124</v>
      </c>
      <c r="D92" s="8" t="s">
        <v>23</v>
      </c>
      <c r="E92" s="8">
        <v>17.0</v>
      </c>
      <c r="F92" s="8" t="s">
        <v>129</v>
      </c>
      <c r="G92" s="6">
        <f t="shared" si="1"/>
        <v>0.8275862069</v>
      </c>
    </row>
    <row r="93">
      <c r="A93" s="8" t="s">
        <v>163</v>
      </c>
      <c r="B93" s="8">
        <v>900.0</v>
      </c>
      <c r="C93" s="8" t="s">
        <v>124</v>
      </c>
      <c r="D93" s="8" t="s">
        <v>65</v>
      </c>
      <c r="E93" s="8">
        <v>17.0</v>
      </c>
      <c r="F93" s="8" t="s">
        <v>129</v>
      </c>
      <c r="G93" s="6">
        <f t="shared" si="1"/>
        <v>1.24137931</v>
      </c>
    </row>
    <row r="94">
      <c r="A94" s="8" t="s">
        <v>164</v>
      </c>
      <c r="B94" s="8">
        <v>350.0</v>
      </c>
      <c r="C94" s="8" t="s">
        <v>124</v>
      </c>
      <c r="D94" s="8" t="s">
        <v>19</v>
      </c>
      <c r="E94" s="8">
        <v>17.0</v>
      </c>
      <c r="F94" s="8" t="s">
        <v>129</v>
      </c>
      <c r="G94" s="6">
        <f t="shared" si="1"/>
        <v>0.4827586207</v>
      </c>
    </row>
    <row r="95">
      <c r="A95" s="8" t="s">
        <v>165</v>
      </c>
      <c r="B95" s="8">
        <v>24.0</v>
      </c>
      <c r="C95" s="8" t="s">
        <v>1</v>
      </c>
      <c r="D95" s="8" t="s">
        <v>110</v>
      </c>
      <c r="E95" s="8">
        <v>0.0</v>
      </c>
      <c r="F95" s="8" t="s">
        <v>3</v>
      </c>
      <c r="G95" s="6">
        <f t="shared" si="1"/>
        <v>24</v>
      </c>
    </row>
    <row r="96">
      <c r="A96" s="8" t="s">
        <v>166</v>
      </c>
      <c r="B96" s="8">
        <v>2500.0</v>
      </c>
      <c r="C96" s="8" t="s">
        <v>167</v>
      </c>
      <c r="D96" s="8" t="s">
        <v>23</v>
      </c>
      <c r="E96" s="8">
        <v>19.0</v>
      </c>
      <c r="F96" s="8" t="s">
        <v>168</v>
      </c>
      <c r="G96" s="6">
        <f t="shared" si="1"/>
        <v>5.200857101</v>
      </c>
    </row>
    <row r="97">
      <c r="A97" s="8" t="s">
        <v>169</v>
      </c>
      <c r="B97" s="8">
        <v>300.0</v>
      </c>
      <c r="C97" s="8" t="s">
        <v>167</v>
      </c>
      <c r="D97" s="8" t="s">
        <v>19</v>
      </c>
      <c r="E97" s="8">
        <v>19.0</v>
      </c>
      <c r="F97" s="8" t="s">
        <v>168</v>
      </c>
      <c r="G97" s="6">
        <f t="shared" si="1"/>
        <v>0.6241028522</v>
      </c>
    </row>
    <row r="98">
      <c r="A98" s="8" t="s">
        <v>170</v>
      </c>
      <c r="B98" s="8">
        <v>100.0</v>
      </c>
      <c r="C98" s="8" t="s">
        <v>167</v>
      </c>
      <c r="D98" s="8" t="s">
        <v>32</v>
      </c>
      <c r="E98" s="8">
        <v>19.0</v>
      </c>
      <c r="F98" s="8" t="s">
        <v>168</v>
      </c>
      <c r="G98" s="6">
        <f t="shared" si="1"/>
        <v>0.2080342841</v>
      </c>
    </row>
    <row r="99">
      <c r="A99" s="8" t="s">
        <v>171</v>
      </c>
      <c r="B99" s="8">
        <v>100.0</v>
      </c>
      <c r="C99" s="8" t="s">
        <v>167</v>
      </c>
      <c r="D99" s="8" t="s">
        <v>19</v>
      </c>
      <c r="E99" s="8">
        <v>19.0</v>
      </c>
      <c r="F99" s="8" t="s">
        <v>168</v>
      </c>
      <c r="G99" s="6">
        <f t="shared" si="1"/>
        <v>0.2080342841</v>
      </c>
    </row>
    <row r="100">
      <c r="A100" s="8" t="s">
        <v>172</v>
      </c>
      <c r="B100" s="8">
        <v>5900.0</v>
      </c>
      <c r="C100" s="8" t="s">
        <v>167</v>
      </c>
      <c r="D100" s="8" t="s">
        <v>43</v>
      </c>
      <c r="E100" s="8">
        <v>19.0</v>
      </c>
      <c r="F100" s="8" t="s">
        <v>168</v>
      </c>
      <c r="G100" s="6">
        <f t="shared" si="1"/>
        <v>12.27402276</v>
      </c>
    </row>
    <row r="101">
      <c r="A101" s="8" t="s">
        <v>173</v>
      </c>
      <c r="B101" s="8">
        <v>100.0</v>
      </c>
      <c r="C101" s="8" t="s">
        <v>167</v>
      </c>
      <c r="D101" s="8" t="s">
        <v>19</v>
      </c>
      <c r="E101" s="8">
        <v>20.0</v>
      </c>
      <c r="F101" s="8" t="s">
        <v>168</v>
      </c>
      <c r="G101" s="6">
        <f t="shared" si="1"/>
        <v>0.2080342841</v>
      </c>
    </row>
    <row r="102">
      <c r="A102" s="8" t="s">
        <v>174</v>
      </c>
      <c r="B102" s="8">
        <v>100.0</v>
      </c>
      <c r="C102" s="8" t="s">
        <v>167</v>
      </c>
      <c r="D102" s="8" t="s">
        <v>19</v>
      </c>
      <c r="E102" s="8">
        <v>20.0</v>
      </c>
      <c r="F102" s="8" t="s">
        <v>168</v>
      </c>
      <c r="G102" s="6">
        <f t="shared" si="1"/>
        <v>0.2080342841</v>
      </c>
    </row>
    <row r="103">
      <c r="A103" s="8" t="s">
        <v>175</v>
      </c>
      <c r="B103" s="8">
        <v>2150.0</v>
      </c>
      <c r="C103" s="8" t="s">
        <v>167</v>
      </c>
      <c r="D103" s="8" t="s">
        <v>27</v>
      </c>
      <c r="E103" s="8">
        <v>20.0</v>
      </c>
      <c r="F103" s="8" t="s">
        <v>168</v>
      </c>
      <c r="G103" s="6">
        <f t="shared" si="1"/>
        <v>4.472737107</v>
      </c>
    </row>
    <row r="104">
      <c r="A104" s="8" t="s">
        <v>171</v>
      </c>
      <c r="B104" s="8">
        <v>100.0</v>
      </c>
      <c r="C104" s="8" t="s">
        <v>167</v>
      </c>
      <c r="D104" s="8" t="s">
        <v>19</v>
      </c>
      <c r="E104" s="8">
        <v>20.0</v>
      </c>
      <c r="F104" s="8" t="s">
        <v>168</v>
      </c>
      <c r="G104" s="6">
        <f t="shared" si="1"/>
        <v>0.2080342841</v>
      </c>
    </row>
    <row r="105">
      <c r="A105" s="8" t="s">
        <v>82</v>
      </c>
      <c r="B105" s="8">
        <v>100.0</v>
      </c>
      <c r="C105" s="8" t="s">
        <v>167</v>
      </c>
      <c r="D105" s="8" t="s">
        <v>32</v>
      </c>
      <c r="E105" s="8">
        <v>20.0</v>
      </c>
      <c r="F105" s="8" t="s">
        <v>168</v>
      </c>
      <c r="G105" s="6">
        <f t="shared" si="1"/>
        <v>0.2080342841</v>
      </c>
    </row>
    <row r="106">
      <c r="A106" s="8" t="s">
        <v>172</v>
      </c>
      <c r="B106" s="8">
        <v>5900.0</v>
      </c>
      <c r="C106" s="8" t="s">
        <v>167</v>
      </c>
      <c r="D106" s="8" t="s">
        <v>43</v>
      </c>
      <c r="E106" s="8">
        <v>20.0</v>
      </c>
      <c r="F106" s="8" t="s">
        <v>168</v>
      </c>
      <c r="G106" s="6">
        <f t="shared" si="1"/>
        <v>12.27402276</v>
      </c>
    </row>
    <row r="107">
      <c r="A107" s="8" t="s">
        <v>176</v>
      </c>
      <c r="B107" s="8">
        <v>80.0</v>
      </c>
      <c r="C107" s="8" t="s">
        <v>167</v>
      </c>
      <c r="D107" s="8" t="s">
        <v>32</v>
      </c>
      <c r="E107" s="8">
        <v>20.0</v>
      </c>
      <c r="F107" s="8" t="s">
        <v>168</v>
      </c>
      <c r="G107" s="6">
        <f t="shared" si="1"/>
        <v>0.1664274272</v>
      </c>
    </row>
    <row r="108">
      <c r="A108" s="8" t="s">
        <v>177</v>
      </c>
      <c r="B108" s="8">
        <v>450.0</v>
      </c>
      <c r="C108" s="8" t="s">
        <v>167</v>
      </c>
      <c r="D108" s="8" t="s">
        <v>32</v>
      </c>
      <c r="E108" s="8">
        <v>20.0</v>
      </c>
      <c r="F108" s="8" t="s">
        <v>168</v>
      </c>
      <c r="G108" s="6">
        <f t="shared" si="1"/>
        <v>0.9361542782</v>
      </c>
    </row>
    <row r="109">
      <c r="A109" s="8" t="s">
        <v>157</v>
      </c>
      <c r="B109" s="8">
        <v>300.0</v>
      </c>
      <c r="C109" s="8" t="s">
        <v>167</v>
      </c>
      <c r="D109" s="8" t="s">
        <v>19</v>
      </c>
      <c r="E109" s="8">
        <v>20.0</v>
      </c>
      <c r="F109" s="8" t="s">
        <v>168</v>
      </c>
      <c r="G109" s="6">
        <f t="shared" si="1"/>
        <v>0.6241028522</v>
      </c>
    </row>
    <row r="110">
      <c r="A110" s="8" t="s">
        <v>178</v>
      </c>
      <c r="B110" s="8">
        <v>625.0</v>
      </c>
      <c r="C110" s="8" t="s">
        <v>1</v>
      </c>
      <c r="D110" s="8" t="s">
        <v>2</v>
      </c>
      <c r="E110" s="8">
        <v>0.0</v>
      </c>
      <c r="F110" s="8" t="s">
        <v>3</v>
      </c>
      <c r="G110" s="6">
        <f t="shared" si="1"/>
        <v>625</v>
      </c>
    </row>
  </sheetData>
  <drawing r:id="rId1"/>
</worksheet>
</file>